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Sheet1" sheetId="1" r:id="rId1"/>
  </sheets>
  <definedNames>
    <definedName name="LINK">'Sheet1'!$A$1:$F$44</definedName>
    <definedName name="_xlnm.Print_Area" localSheetId="0">'Sheet1'!$G$1:$L$69</definedName>
  </definedNames>
  <calcPr fullCalcOnLoad="1"/>
</workbook>
</file>

<file path=xl/sharedStrings.xml><?xml version="1.0" encoding="utf-8"?>
<sst xmlns="http://schemas.openxmlformats.org/spreadsheetml/2006/main" count="334" uniqueCount="143">
  <si>
    <t xml:space="preserve">                          OHIO DEPARTMENT OF NATURAL RESOURCES</t>
  </si>
  <si>
    <t xml:space="preserve">                          CAMBRIDGE ENVIRONMENTAL LABORATORY</t>
  </si>
  <si>
    <t xml:space="preserve">                          325 NORTH SEVENTH STREET</t>
  </si>
  <si>
    <t xml:space="preserve">                          CAMBRIDGE, OH  43725</t>
  </si>
  <si>
    <t>JMM</t>
  </si>
  <si>
    <t>PARAMETER</t>
  </si>
  <si>
    <t>Total Acidity as CaCO3</t>
  </si>
  <si>
    <t>Total Alkalinity as CaCO3  (m-alk)</t>
  </si>
  <si>
    <t xml:space="preserve">Phenolphthalein Alkalinity as CaCO3  </t>
  </si>
  <si>
    <t>DET</t>
  </si>
  <si>
    <t>Carbonate (CO3) Alkalinity as CaCO3</t>
  </si>
  <si>
    <t>BiCarbonate (HCO3) Alkalinity as CaCO3</t>
  </si>
  <si>
    <t>Hydroxide (OH) Alkalinity as CaCO3</t>
  </si>
  <si>
    <t>Total Dissolved Solids (TDS)</t>
  </si>
  <si>
    <t>Total Suspended Solids (TSS)</t>
  </si>
  <si>
    <t>Total Solids (TS)</t>
  </si>
  <si>
    <t>Calcium, Total</t>
  </si>
  <si>
    <t>Magnesium, Total</t>
  </si>
  <si>
    <t>Sodium, Total</t>
  </si>
  <si>
    <t>Potassium, Total</t>
  </si>
  <si>
    <t>Iron, Total</t>
  </si>
  <si>
    <t>Manganese, Total</t>
  </si>
  <si>
    <t>Aluminum, Total</t>
  </si>
  <si>
    <t>Approved By:_____________________________________</t>
  </si>
  <si>
    <t>Date:_______________________</t>
  </si>
  <si>
    <t>Total Cations (EPM)</t>
  </si>
  <si>
    <t>Total Anions(EPM)</t>
  </si>
  <si>
    <t>% Ca</t>
  </si>
  <si>
    <t>% HCO3 + CO3</t>
  </si>
  <si>
    <t>% Mg</t>
  </si>
  <si>
    <t>% SO4</t>
  </si>
  <si>
    <t>% Na + K</t>
  </si>
  <si>
    <t>% Cl</t>
  </si>
  <si>
    <t>% Other                       .</t>
  </si>
  <si>
    <t>% Other             .</t>
  </si>
  <si>
    <t>EPM Balance</t>
  </si>
  <si>
    <t>% OH</t>
  </si>
  <si>
    <t>Water Type</t>
  </si>
  <si>
    <t>Measured TDS</t>
  </si>
  <si>
    <t>Calculated TDS</t>
  </si>
  <si>
    <t>Measured TDS/ Calculated TDS</t>
  </si>
  <si>
    <t>RATIO</t>
  </si>
  <si>
    <t>H+ Conc.</t>
  </si>
  <si>
    <t xml:space="preserve"> measTDS/SC</t>
  </si>
  <si>
    <t>calc TDS/SC</t>
  </si>
  <si>
    <t xml:space="preserve">Ca/ HCO3 </t>
  </si>
  <si>
    <t>K/ HCO3</t>
  </si>
  <si>
    <t>Mg/ SO4</t>
  </si>
  <si>
    <t>Mn/ Fe</t>
  </si>
  <si>
    <t>Fe/ SO4</t>
  </si>
  <si>
    <t>Ca/ Mg</t>
  </si>
  <si>
    <t>Al/ Ca</t>
  </si>
  <si>
    <t>Na/ K</t>
  </si>
  <si>
    <t>Al/ SO4</t>
  </si>
  <si>
    <t>Ca/ Cl</t>
  </si>
  <si>
    <t>Na/ Cl</t>
  </si>
  <si>
    <t>Ca/ SO4</t>
  </si>
  <si>
    <t>Na/ SO4</t>
  </si>
  <si>
    <t>Fe/ Cl</t>
  </si>
  <si>
    <t>K/ SO4</t>
  </si>
  <si>
    <t>Mg/ Cl</t>
  </si>
  <si>
    <t>Al/ Cl</t>
  </si>
  <si>
    <t>K/ Cl</t>
  </si>
  <si>
    <t>Mn/ Cl</t>
  </si>
  <si>
    <t>Mn/ SO4</t>
  </si>
  <si>
    <t>SAR</t>
  </si>
  <si>
    <t>RSC</t>
  </si>
  <si>
    <t>ESP</t>
  </si>
  <si>
    <t>Carbonate Hardness</t>
  </si>
  <si>
    <t>Non-Carbonate Hardness</t>
  </si>
  <si>
    <t>Sulfate, Total</t>
  </si>
  <si>
    <t>Chloride, Total</t>
  </si>
  <si>
    <t>Hardness, Total as CaCO3</t>
  </si>
  <si>
    <t>Hardness, Total S elements analyzed as CaCO3</t>
  </si>
  <si>
    <t>Barium, Total</t>
  </si>
  <si>
    <t>Strontium, Total</t>
  </si>
  <si>
    <t>Bromide, Total</t>
  </si>
  <si>
    <t>GROUP: OIL &amp; GAS</t>
  </si>
  <si>
    <t>Br/Cl</t>
  </si>
  <si>
    <t>Ba/Sr</t>
  </si>
  <si>
    <t>METHOD</t>
  </si>
  <si>
    <t>SM2510B</t>
  </si>
  <si>
    <t>SM2310B</t>
  </si>
  <si>
    <t>SM2320B</t>
  </si>
  <si>
    <t>SM2540C</t>
  </si>
  <si>
    <t>SM2540D</t>
  </si>
  <si>
    <t>SM4110B</t>
  </si>
  <si>
    <t>SM4500-ClD</t>
  </si>
  <si>
    <t>SM3120B</t>
  </si>
  <si>
    <t>SM2340B</t>
  </si>
  <si>
    <t>CALCULATED</t>
  </si>
  <si>
    <t>ANALYST</t>
  </si>
  <si>
    <t>RESULT</t>
  </si>
  <si>
    <t>UNITS</t>
  </si>
  <si>
    <t>EPM</t>
  </si>
  <si>
    <t>SU</t>
  </si>
  <si>
    <t xml:space="preserve">pH </t>
  </si>
  <si>
    <t xml:space="preserve">Specific Conductivity </t>
  </si>
  <si>
    <t>uS/cm</t>
  </si>
  <si>
    <t>mg/L</t>
  </si>
  <si>
    <r>
      <t>mg 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/L</t>
    </r>
  </si>
  <si>
    <r>
      <t>SM4500-H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B</t>
    </r>
  </si>
  <si>
    <t>15011401</t>
  </si>
  <si>
    <t>Zanesville Office</t>
  </si>
  <si>
    <t>NaCl</t>
  </si>
  <si>
    <t>READY</t>
  </si>
  <si>
    <t>JTS086</t>
  </si>
  <si>
    <t>Jon Scott</t>
  </si>
  <si>
    <t/>
  </si>
  <si>
    <t>3821 Unloading Pad</t>
  </si>
  <si>
    <t>5880 Memory Road</t>
  </si>
  <si>
    <t>1/14/2015</t>
  </si>
  <si>
    <t>Zanesville</t>
  </si>
  <si>
    <t>OH 43701</t>
  </si>
  <si>
    <t>(740)5880631</t>
  </si>
  <si>
    <t>3821 SWIW</t>
  </si>
  <si>
    <t>(740)5880659--FAX</t>
  </si>
  <si>
    <t>Athens County</t>
  </si>
  <si>
    <t>Aluminum</t>
  </si>
  <si>
    <t>"mg/L"</t>
  </si>
  <si>
    <t>Calcium</t>
  </si>
  <si>
    <t>Iron</t>
  </si>
  <si>
    <t>Potassium</t>
  </si>
  <si>
    <t>Magnesium</t>
  </si>
  <si>
    <t>Manganese</t>
  </si>
  <si>
    <t>Sodium</t>
  </si>
  <si>
    <t>Conductivity</t>
  </si>
  <si>
    <t>"uS/cm"</t>
  </si>
  <si>
    <t>Hardness</t>
  </si>
  <si>
    <t>pH</t>
  </si>
  <si>
    <t>"SU"</t>
  </si>
  <si>
    <t>SM4500-H+ B</t>
  </si>
  <si>
    <t>Sulfate</t>
  </si>
  <si>
    <t>Total Dissolved Solids</t>
  </si>
  <si>
    <t>Total Suspended Solids</t>
  </si>
  <si>
    <t>Acidity</t>
  </si>
  <si>
    <t>Total</t>
  </si>
  <si>
    <t>Alkalinity</t>
  </si>
  <si>
    <t>Phen.</t>
  </si>
  <si>
    <t>Chloride</t>
  </si>
  <si>
    <t>Barium</t>
  </si>
  <si>
    <t>Strontium</t>
  </si>
  <si>
    <t>Bromide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</si>
</sst>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[$-409]dddd\,\ mmmm\ dd\,\ yyyy"/>
    <numFmt numFmtId="166" formatCode="mm/dd/yy"/>
    <numFmt numFmtId="167" formatCode="0.0"/>
  </numFmts>
  <fonts count="42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 quotePrefix="1">
      <alignment/>
    </xf>
    <xf numFmtId="0" fontId="0" fillId="0" borderId="0" xfId="0" applyAlignment="1">
      <alignment horizontal="left"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 horizontal="left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2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Alignment="1" applyProtection="1" quotePrefix="1">
      <alignment/>
      <protection locked="0"/>
    </xf>
    <xf numFmtId="14" fontId="0" fillId="0" borderId="0" xfId="0" applyNumberFormat="1" applyAlignment="1">
      <alignment/>
    </xf>
    <xf numFmtId="49" fontId="0" fillId="0" borderId="0" xfId="0" applyNumberFormat="1" applyAlignment="1" applyProtection="1" quotePrefix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quotePrefix="1">
      <alignment/>
    </xf>
    <xf numFmtId="49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 quotePrefix="1">
      <alignment/>
      <protection locked="0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66" fontId="0" fillId="0" borderId="0" xfId="0" applyNumberFormat="1" applyBorder="1" applyAlignment="1" applyProtection="1">
      <alignment horizontal="left"/>
      <protection locked="0"/>
    </xf>
    <xf numFmtId="164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  <protection locked="0"/>
    </xf>
    <xf numFmtId="19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67" fontId="0" fillId="0" borderId="10" xfId="0" applyNumberForma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0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9.57421875" style="36" bestFit="1" customWidth="1"/>
    <col min="2" max="2" width="15.140625" style="28" customWidth="1"/>
    <col min="3" max="3" width="17.140625" style="32" customWidth="1"/>
    <col min="4" max="5" width="9.140625" style="32" customWidth="1"/>
    <col min="7" max="7" width="50.7109375" style="0" customWidth="1"/>
    <col min="8" max="8" width="13.57421875" style="40" customWidth="1"/>
    <col min="9" max="9" width="17.7109375" style="40" customWidth="1"/>
    <col min="10" max="10" width="13.421875" style="0" customWidth="1"/>
    <col min="11" max="11" width="14.7109375" style="0" customWidth="1"/>
    <col min="12" max="12" width="12.140625" style="0" customWidth="1"/>
    <col min="14" max="14" width="10.140625" style="0" bestFit="1" customWidth="1"/>
  </cols>
  <sheetData>
    <row r="1" spans="1:14" ht="12.75">
      <c r="A1" s="33"/>
      <c r="B1" s="6"/>
      <c r="C1" s="29" t="s">
        <v>102</v>
      </c>
      <c r="D1" s="29" t="s">
        <v>103</v>
      </c>
      <c r="E1" s="30" t="s">
        <v>104</v>
      </c>
      <c r="F1" s="1" t="s">
        <v>105</v>
      </c>
      <c r="G1" s="4" t="str">
        <f>"LAB ID: "&amp;C1</f>
        <v>LAB ID: 15011401</v>
      </c>
      <c r="H1" s="38" t="s">
        <v>0</v>
      </c>
      <c r="I1" s="38"/>
      <c r="J1" s="2"/>
      <c r="K1" s="2"/>
      <c r="L1" s="2"/>
      <c r="N1" s="28">
        <v>41201</v>
      </c>
    </row>
    <row r="2" spans="1:11" ht="12.75">
      <c r="A2" s="33"/>
      <c r="B2" s="6"/>
      <c r="C2" s="31" t="s">
        <v>106</v>
      </c>
      <c r="D2" s="29" t="s">
        <v>107</v>
      </c>
      <c r="E2" s="31" t="s">
        <v>108</v>
      </c>
      <c r="F2" s="1"/>
      <c r="G2" s="4" t="str">
        <f>"SAMPLE NUMBER: "&amp;C2</f>
        <v>SAMPLE NUMBER: JTS086</v>
      </c>
      <c r="H2" s="38" t="s">
        <v>1</v>
      </c>
      <c r="I2" s="38"/>
      <c r="J2" s="2"/>
      <c r="K2" s="2"/>
    </row>
    <row r="3" spans="1:11" ht="12.75">
      <c r="A3" s="33"/>
      <c r="B3" s="6"/>
      <c r="C3" s="31" t="s">
        <v>109</v>
      </c>
      <c r="D3" s="31" t="s">
        <v>110</v>
      </c>
      <c r="E3" s="30" t="s">
        <v>108</v>
      </c>
      <c r="F3" s="1"/>
      <c r="G3" s="4" t="str">
        <f>"PROJECT NAME: "&amp;C6</f>
        <v>PROJECT NAME: 3821 SWIW</v>
      </c>
      <c r="H3" s="38" t="s">
        <v>2</v>
      </c>
      <c r="I3" s="38"/>
      <c r="J3" s="2"/>
      <c r="K3" s="2"/>
    </row>
    <row r="4" spans="1:12" ht="12.75">
      <c r="A4" s="33"/>
      <c r="B4" s="6">
        <v>42017</v>
      </c>
      <c r="C4" s="31" t="s">
        <v>111</v>
      </c>
      <c r="D4" s="31" t="s">
        <v>112</v>
      </c>
      <c r="E4" s="30" t="s">
        <v>113</v>
      </c>
      <c r="F4" s="1"/>
      <c r="G4" s="4" t="str">
        <f>"LOCATION: "&amp;D9</f>
        <v>LOCATION: Athens County</v>
      </c>
      <c r="H4" s="38" t="s">
        <v>3</v>
      </c>
      <c r="I4" s="38"/>
      <c r="J4" s="2"/>
      <c r="K4" s="2"/>
      <c r="L4" s="2"/>
    </row>
    <row r="5" spans="1:7" ht="12.75" customHeight="1">
      <c r="A5" s="33"/>
      <c r="B5" s="55">
        <v>0.4895833333333333</v>
      </c>
      <c r="C5" s="30" t="s">
        <v>108</v>
      </c>
      <c r="D5" s="31" t="s">
        <v>114</v>
      </c>
      <c r="E5" s="30" t="s">
        <v>108</v>
      </c>
      <c r="F5" s="1"/>
      <c r="G5" s="4" t="str">
        <f>"SAMPLE LOCATION: "&amp;C3</f>
        <v>SAMPLE LOCATION: 3821 Unloading Pad</v>
      </c>
    </row>
    <row r="6" spans="1:15" ht="12.75">
      <c r="A6" s="30" t="s">
        <v>108</v>
      </c>
      <c r="B6" s="45" t="s">
        <v>108</v>
      </c>
      <c r="C6" s="29" t="s">
        <v>115</v>
      </c>
      <c r="D6" s="31" t="s">
        <v>116</v>
      </c>
      <c r="E6" s="30" t="s">
        <v>108</v>
      </c>
      <c r="F6" s="1"/>
      <c r="G6" s="4" t="s">
        <v>77</v>
      </c>
      <c r="H6" s="39"/>
      <c r="I6" s="39"/>
      <c r="J6" s="2"/>
      <c r="K6" s="2"/>
      <c r="L6" s="2"/>
      <c r="O6" s="46">
        <f>IF(ISBLANK(A6),"N/A ",A6)</f>
      </c>
    </row>
    <row r="7" spans="1:12" ht="12.75">
      <c r="A7" s="33"/>
      <c r="B7" s="5"/>
      <c r="C7" s="31" t="s">
        <v>108</v>
      </c>
      <c r="D7" s="31" t="s">
        <v>108</v>
      </c>
      <c r="E7" s="30" t="s">
        <v>108</v>
      </c>
      <c r="F7" s="1"/>
      <c r="G7" s="4" t="str">
        <f>"DATE SAMPLED: "&amp;MONTH(B4)&amp;"/"&amp;DAY(B4)&amp;"/"&amp;YEAR(B4)</f>
        <v>DATE SAMPLED: 1/13/2015</v>
      </c>
      <c r="H7" s="39"/>
      <c r="I7" s="39"/>
      <c r="K7" s="2"/>
      <c r="L7" s="2"/>
    </row>
    <row r="8" spans="1:12" ht="12.75" customHeight="1">
      <c r="A8" s="33"/>
      <c r="B8" s="5">
        <v>42018.489583333336</v>
      </c>
      <c r="C8" s="31" t="s">
        <v>108</v>
      </c>
      <c r="D8" s="31" t="s">
        <v>108</v>
      </c>
      <c r="E8" s="30" t="s">
        <v>108</v>
      </c>
      <c r="F8" s="1"/>
      <c r="G8" s="4" t="str">
        <f>"DATE RECEIVED: "&amp;MONTH(C4)&amp;"/"&amp;DAY(C4)&amp;"/"&amp;YEAR(C4)</f>
        <v>DATE RECEIVED: 1/14/2015</v>
      </c>
      <c r="H8" s="37"/>
      <c r="I8" s="37"/>
      <c r="K8" s="2"/>
      <c r="L8" s="2"/>
    </row>
    <row r="9" spans="1:11" ht="12.75" customHeight="1">
      <c r="A9" s="33"/>
      <c r="B9" s="6"/>
      <c r="C9" s="31" t="s">
        <v>9</v>
      </c>
      <c r="D9" s="31" t="s">
        <v>117</v>
      </c>
      <c r="E9" s="30" t="s">
        <v>108</v>
      </c>
      <c r="F9" s="1"/>
      <c r="J9" s="2"/>
      <c r="K9" s="2"/>
    </row>
    <row r="10" spans="1:12" ht="12.75" customHeight="1">
      <c r="A10" s="33"/>
      <c r="B10" s="6"/>
      <c r="C10" s="29" t="s">
        <v>108</v>
      </c>
      <c r="D10" s="30" t="s">
        <v>109</v>
      </c>
      <c r="E10" s="30" t="s">
        <v>108</v>
      </c>
      <c r="F10" s="1"/>
      <c r="G10" s="52" t="s">
        <v>5</v>
      </c>
      <c r="H10" s="54" t="s">
        <v>92</v>
      </c>
      <c r="I10" s="54" t="s">
        <v>93</v>
      </c>
      <c r="J10" s="54" t="s">
        <v>94</v>
      </c>
      <c r="K10" s="53" t="s">
        <v>80</v>
      </c>
      <c r="L10" s="53" t="s">
        <v>91</v>
      </c>
    </row>
    <row r="11" spans="1:15" ht="14.25">
      <c r="A11" s="34">
        <v>9.24</v>
      </c>
      <c r="B11" s="5">
        <v>42019</v>
      </c>
      <c r="C11" s="31" t="s">
        <v>4</v>
      </c>
      <c r="D11" s="31" t="s">
        <v>118</v>
      </c>
      <c r="E11" s="30" t="s">
        <v>119</v>
      </c>
      <c r="F11" s="1" t="s">
        <v>88</v>
      </c>
      <c r="G11" s="9" t="s">
        <v>96</v>
      </c>
      <c r="H11" s="41">
        <f>A20</f>
        <v>6.37</v>
      </c>
      <c r="I11" s="41" t="s">
        <v>95</v>
      </c>
      <c r="J11" s="10"/>
      <c r="K11" s="11" t="s">
        <v>101</v>
      </c>
      <c r="L11" s="17" t="s">
        <v>9</v>
      </c>
      <c r="O11" s="1">
        <f>IF(H11="&lt;.05",0.05,H11)</f>
        <v>6.37</v>
      </c>
    </row>
    <row r="12" spans="1:12" ht="12.75">
      <c r="A12" s="33">
        <v>19700</v>
      </c>
      <c r="B12" s="6">
        <v>42019</v>
      </c>
      <c r="C12" s="31" t="s">
        <v>4</v>
      </c>
      <c r="D12" s="31" t="s">
        <v>120</v>
      </c>
      <c r="E12" s="30" t="s">
        <v>119</v>
      </c>
      <c r="F12" s="1" t="s">
        <v>88</v>
      </c>
      <c r="G12" s="9" t="s">
        <v>97</v>
      </c>
      <c r="H12" s="57">
        <f>A18</f>
        <v>315000</v>
      </c>
      <c r="I12" s="41" t="s">
        <v>98</v>
      </c>
      <c r="J12" s="10"/>
      <c r="K12" s="11" t="s">
        <v>81</v>
      </c>
      <c r="L12" s="51" t="s">
        <v>9</v>
      </c>
    </row>
    <row r="13" spans="1:13" ht="12.75">
      <c r="A13" s="35">
        <v>148</v>
      </c>
      <c r="B13" s="6">
        <v>42019</v>
      </c>
      <c r="C13" s="31" t="s">
        <v>4</v>
      </c>
      <c r="D13" s="30" t="s">
        <v>121</v>
      </c>
      <c r="E13" s="30" t="s">
        <v>119</v>
      </c>
      <c r="F13" s="1" t="s">
        <v>88</v>
      </c>
      <c r="G13" s="9"/>
      <c r="H13" s="42"/>
      <c r="I13" s="42"/>
      <c r="J13" s="7"/>
      <c r="K13" s="8"/>
      <c r="L13" s="17"/>
      <c r="M13" s="1"/>
    </row>
    <row r="14" spans="1:13" ht="15.75" customHeight="1">
      <c r="A14" s="35">
        <v>620</v>
      </c>
      <c r="B14" s="5">
        <v>42019</v>
      </c>
      <c r="C14" s="31" t="s">
        <v>4</v>
      </c>
      <c r="D14" s="30" t="s">
        <v>122</v>
      </c>
      <c r="E14" s="30" t="s">
        <v>119</v>
      </c>
      <c r="F14" s="1" t="s">
        <v>88</v>
      </c>
      <c r="G14" s="9" t="s">
        <v>6</v>
      </c>
      <c r="H14" s="41">
        <f>A24</f>
        <v>237</v>
      </c>
      <c r="I14" s="41" t="s">
        <v>100</v>
      </c>
      <c r="J14" s="10"/>
      <c r="K14" s="11" t="s">
        <v>82</v>
      </c>
      <c r="L14" s="17" t="s">
        <v>9</v>
      </c>
      <c r="M14" s="1"/>
    </row>
    <row r="15" spans="1:13" ht="15.75" customHeight="1">
      <c r="A15" s="35">
        <v>2090</v>
      </c>
      <c r="B15" s="5">
        <v>42019</v>
      </c>
      <c r="C15" s="31" t="s">
        <v>4</v>
      </c>
      <c r="D15" s="30" t="s">
        <v>123</v>
      </c>
      <c r="E15" s="30" t="s">
        <v>119</v>
      </c>
      <c r="F15" s="1" t="s">
        <v>88</v>
      </c>
      <c r="G15" s="9" t="s">
        <v>7</v>
      </c>
      <c r="H15" s="41">
        <f>VALUE(A26)</f>
        <v>160</v>
      </c>
      <c r="I15" s="41" t="s">
        <v>100</v>
      </c>
      <c r="J15" s="12"/>
      <c r="K15" s="11" t="s">
        <v>83</v>
      </c>
      <c r="L15" s="17" t="s">
        <v>9</v>
      </c>
      <c r="M15" s="1"/>
    </row>
    <row r="16" spans="1:13" ht="15.75" customHeight="1">
      <c r="A16" s="35">
        <v>11.6</v>
      </c>
      <c r="B16" s="5">
        <v>42019</v>
      </c>
      <c r="C16" s="31" t="s">
        <v>4</v>
      </c>
      <c r="D16" s="30" t="s">
        <v>124</v>
      </c>
      <c r="E16" s="30" t="s">
        <v>119</v>
      </c>
      <c r="F16" s="1" t="s">
        <v>88</v>
      </c>
      <c r="G16" s="9" t="s">
        <v>8</v>
      </c>
      <c r="H16" s="58">
        <v>0</v>
      </c>
      <c r="I16" s="41" t="s">
        <v>100</v>
      </c>
      <c r="J16" s="10"/>
      <c r="K16" s="11" t="s">
        <v>83</v>
      </c>
      <c r="L16" s="17" t="s">
        <v>9</v>
      </c>
      <c r="M16" s="1"/>
    </row>
    <row r="17" spans="1:15" ht="15.75" customHeight="1">
      <c r="A17" s="35">
        <v>44000</v>
      </c>
      <c r="B17" s="5">
        <v>42019</v>
      </c>
      <c r="C17" s="31" t="s">
        <v>4</v>
      </c>
      <c r="D17" s="30" t="s">
        <v>125</v>
      </c>
      <c r="E17" s="30" t="s">
        <v>119</v>
      </c>
      <c r="F17" s="1" t="s">
        <v>88</v>
      </c>
      <c r="G17" s="9" t="s">
        <v>10</v>
      </c>
      <c r="H17" s="58">
        <f>IF(H16=0,0,IF(H16&lt;0.5*H15,2*H16,IF(H16=0.5*H15,2*H16,IF(H16=H15,0,2*(H15-H16)))))</f>
        <v>0</v>
      </c>
      <c r="I17" s="41" t="s">
        <v>100</v>
      </c>
      <c r="J17" s="10">
        <f>0.01639*H17</f>
        <v>0</v>
      </c>
      <c r="K17" s="11" t="s">
        <v>83</v>
      </c>
      <c r="L17" s="17" t="s">
        <v>9</v>
      </c>
      <c r="M17" s="1"/>
      <c r="O17" s="1"/>
    </row>
    <row r="18" spans="1:15" ht="15.75" customHeight="1">
      <c r="A18" s="36">
        <v>315000</v>
      </c>
      <c r="B18" s="5">
        <v>42018</v>
      </c>
      <c r="C18" s="31" t="s">
        <v>9</v>
      </c>
      <c r="D18" s="30" t="s">
        <v>126</v>
      </c>
      <c r="E18" s="30" t="s">
        <v>127</v>
      </c>
      <c r="F18" s="1" t="s">
        <v>81</v>
      </c>
      <c r="G18" s="9" t="s">
        <v>11</v>
      </c>
      <c r="H18" s="41">
        <f>IF(H16=0,H15,IF(H16&lt;0.5*H15,H15-2*H16,0))</f>
        <v>160</v>
      </c>
      <c r="I18" s="41" t="s">
        <v>100</v>
      </c>
      <c r="J18" s="10">
        <f>0.01639*H18</f>
        <v>2.6224</v>
      </c>
      <c r="K18" s="11" t="s">
        <v>83</v>
      </c>
      <c r="L18" s="17" t="s">
        <v>9</v>
      </c>
      <c r="O18" s="1"/>
    </row>
    <row r="19" spans="1:15" ht="15.75" customHeight="1">
      <c r="A19" s="35">
        <v>57800</v>
      </c>
      <c r="B19" s="5">
        <v>42024</v>
      </c>
      <c r="C19" s="31" t="s">
        <v>4</v>
      </c>
      <c r="D19" s="30" t="s">
        <v>128</v>
      </c>
      <c r="E19" s="30" t="s">
        <v>119</v>
      </c>
      <c r="F19" s="1" t="s">
        <v>89</v>
      </c>
      <c r="G19" s="9" t="s">
        <v>12</v>
      </c>
      <c r="H19" s="58">
        <f>IF(H16=0,0,IF(H16&lt;0.5*H15,0,IF(H16=0.5*H15,0,IF(H16=H15,H15,2*H16-H15))))</f>
        <v>0</v>
      </c>
      <c r="I19" s="41" t="s">
        <v>100</v>
      </c>
      <c r="J19" s="10">
        <f>0.0588*H19</f>
        <v>0</v>
      </c>
      <c r="K19" s="11" t="s">
        <v>83</v>
      </c>
      <c r="L19" s="17" t="s">
        <v>9</v>
      </c>
      <c r="O19" s="1"/>
    </row>
    <row r="20" spans="1:12" ht="15.75" customHeight="1">
      <c r="A20" s="35">
        <v>6.37</v>
      </c>
      <c r="B20" s="5">
        <v>42018</v>
      </c>
      <c r="C20" s="31" t="s">
        <v>9</v>
      </c>
      <c r="D20" s="30" t="s">
        <v>129</v>
      </c>
      <c r="E20" s="30" t="s">
        <v>130</v>
      </c>
      <c r="F20" s="1" t="s">
        <v>131</v>
      </c>
      <c r="G20" s="9" t="s">
        <v>13</v>
      </c>
      <c r="H20" s="57">
        <f>A22</f>
        <v>193000</v>
      </c>
      <c r="I20" s="41" t="s">
        <v>99</v>
      </c>
      <c r="J20" s="10"/>
      <c r="K20" s="11" t="s">
        <v>84</v>
      </c>
      <c r="L20" s="51" t="s">
        <v>9</v>
      </c>
    </row>
    <row r="21" spans="1:15" ht="15.75" customHeight="1">
      <c r="A21" s="35">
        <v>38.1</v>
      </c>
      <c r="B21" s="5">
        <v>42018</v>
      </c>
      <c r="C21" s="31" t="s">
        <v>9</v>
      </c>
      <c r="D21" s="30" t="s">
        <v>132</v>
      </c>
      <c r="E21" s="30" t="s">
        <v>119</v>
      </c>
      <c r="F21" s="1" t="s">
        <v>86</v>
      </c>
      <c r="G21" s="9" t="s">
        <v>14</v>
      </c>
      <c r="H21" s="43">
        <f>A23</f>
        <v>448</v>
      </c>
      <c r="I21" s="41" t="s">
        <v>99</v>
      </c>
      <c r="J21" s="13"/>
      <c r="K21" s="11" t="s">
        <v>85</v>
      </c>
      <c r="L21" s="51" t="s">
        <v>9</v>
      </c>
      <c r="M21" s="1"/>
      <c r="O21" s="1">
        <f>IF(H21="&lt;2",2,H21)</f>
        <v>448</v>
      </c>
    </row>
    <row r="22" spans="1:12" ht="15.75" customHeight="1">
      <c r="A22" s="35">
        <v>193000</v>
      </c>
      <c r="B22" s="5">
        <v>42019</v>
      </c>
      <c r="C22" s="31" t="s">
        <v>9</v>
      </c>
      <c r="D22" s="30" t="s">
        <v>133</v>
      </c>
      <c r="E22" s="30" t="s">
        <v>119</v>
      </c>
      <c r="F22" s="1" t="s">
        <v>84</v>
      </c>
      <c r="G22" s="9" t="s">
        <v>15</v>
      </c>
      <c r="H22" s="57">
        <f>H20+O21</f>
        <v>193448</v>
      </c>
      <c r="I22" s="41" t="s">
        <v>99</v>
      </c>
      <c r="J22" s="10"/>
      <c r="K22" s="11" t="s">
        <v>90</v>
      </c>
      <c r="L22" s="17" t="s">
        <v>4</v>
      </c>
    </row>
    <row r="23" spans="1:15" ht="15.75" customHeight="1">
      <c r="A23" s="35">
        <v>448</v>
      </c>
      <c r="B23" s="5">
        <v>42019</v>
      </c>
      <c r="C23" s="31" t="s">
        <v>9</v>
      </c>
      <c r="D23" s="30" t="s">
        <v>134</v>
      </c>
      <c r="E23" s="30" t="s">
        <v>119</v>
      </c>
      <c r="F23" s="1" t="s">
        <v>85</v>
      </c>
      <c r="G23" s="9" t="s">
        <v>70</v>
      </c>
      <c r="H23" s="60">
        <f>A21</f>
        <v>38.1</v>
      </c>
      <c r="I23" s="41" t="s">
        <v>99</v>
      </c>
      <c r="J23" s="10">
        <f>0.02082*A21</f>
        <v>0.7932420000000001</v>
      </c>
      <c r="K23" s="11" t="s">
        <v>86</v>
      </c>
      <c r="L23" s="17" t="s">
        <v>9</v>
      </c>
      <c r="M23" s="1"/>
      <c r="O23" s="1">
        <f>A21</f>
        <v>38.1</v>
      </c>
    </row>
    <row r="24" spans="1:15" ht="15.75" customHeight="1">
      <c r="A24" s="35">
        <v>237</v>
      </c>
      <c r="B24" s="5">
        <v>42019</v>
      </c>
      <c r="C24" s="31" t="s">
        <v>9</v>
      </c>
      <c r="D24" s="30" t="s">
        <v>135</v>
      </c>
      <c r="E24" s="30" t="s">
        <v>136</v>
      </c>
      <c r="F24" s="1" t="s">
        <v>82</v>
      </c>
      <c r="G24" s="9" t="s">
        <v>71</v>
      </c>
      <c r="H24" s="56">
        <f>A27</f>
        <v>117000</v>
      </c>
      <c r="I24" s="41" t="s">
        <v>99</v>
      </c>
      <c r="J24" s="10">
        <f>0.02821*O24</f>
        <v>3300.5699999999997</v>
      </c>
      <c r="K24" s="11" t="s">
        <v>87</v>
      </c>
      <c r="L24" s="17" t="s">
        <v>9</v>
      </c>
      <c r="O24" s="1">
        <f>A27</f>
        <v>117000</v>
      </c>
    </row>
    <row r="25" spans="1:15" ht="15.75" customHeight="1">
      <c r="A25" s="35">
        <v>0</v>
      </c>
      <c r="B25" s="6">
        <v>42018</v>
      </c>
      <c r="C25" s="31" t="s">
        <v>9</v>
      </c>
      <c r="D25" s="29" t="s">
        <v>137</v>
      </c>
      <c r="E25" s="29" t="s">
        <v>138</v>
      </c>
      <c r="F25" s="27" t="s">
        <v>83</v>
      </c>
      <c r="G25" s="9" t="s">
        <v>16</v>
      </c>
      <c r="H25" s="56">
        <f>A12</f>
        <v>19700</v>
      </c>
      <c r="I25" s="41" t="s">
        <v>99</v>
      </c>
      <c r="J25" s="10">
        <f>0.0499*O25</f>
        <v>983.03</v>
      </c>
      <c r="K25" s="11" t="s">
        <v>88</v>
      </c>
      <c r="L25" s="17" t="s">
        <v>4</v>
      </c>
      <c r="O25" s="1">
        <f>IF(H25="&lt;0.05",0.05,H25)</f>
        <v>19700</v>
      </c>
    </row>
    <row r="26" spans="1:15" ht="15.75" customHeight="1">
      <c r="A26" s="35">
        <v>160</v>
      </c>
      <c r="B26" s="5">
        <v>42018</v>
      </c>
      <c r="C26" s="31" t="s">
        <v>9</v>
      </c>
      <c r="D26" s="31" t="s">
        <v>137</v>
      </c>
      <c r="E26" s="31" t="s">
        <v>136</v>
      </c>
      <c r="F26" s="3" t="s">
        <v>83</v>
      </c>
      <c r="G26" s="14" t="s">
        <v>17</v>
      </c>
      <c r="H26" s="43">
        <f>A15</f>
        <v>2090</v>
      </c>
      <c r="I26" s="41" t="s">
        <v>99</v>
      </c>
      <c r="J26" s="10">
        <f>0.08229*O26</f>
        <v>171.9861</v>
      </c>
      <c r="K26" s="11" t="s">
        <v>88</v>
      </c>
      <c r="L26" s="17" t="s">
        <v>4</v>
      </c>
      <c r="O26" s="1">
        <f>IF(H26="&lt;0.05",0.05,H26)</f>
        <v>2090</v>
      </c>
    </row>
    <row r="27" spans="1:15" ht="15.75" customHeight="1">
      <c r="A27" s="35">
        <v>117000</v>
      </c>
      <c r="B27" s="5">
        <v>42018</v>
      </c>
      <c r="C27" s="31" t="s">
        <v>9</v>
      </c>
      <c r="D27" s="31" t="s">
        <v>139</v>
      </c>
      <c r="E27" s="31" t="s">
        <v>119</v>
      </c>
      <c r="F27" s="3" t="s">
        <v>86</v>
      </c>
      <c r="G27" s="9" t="s">
        <v>18</v>
      </c>
      <c r="H27" s="56">
        <f>A17</f>
        <v>44000</v>
      </c>
      <c r="I27" s="41" t="s">
        <v>99</v>
      </c>
      <c r="J27" s="10">
        <f>0.0435*O27</f>
        <v>1913.9999999999998</v>
      </c>
      <c r="K27" s="11" t="s">
        <v>88</v>
      </c>
      <c r="L27" s="17" t="s">
        <v>4</v>
      </c>
      <c r="O27" s="1">
        <f>IF(H27="&lt;0.05",0.05,H27)</f>
        <v>44000</v>
      </c>
    </row>
    <row r="28" spans="1:15" ht="15.75" customHeight="1">
      <c r="A28" s="36">
        <v>492</v>
      </c>
      <c r="B28" s="28">
        <v>42019</v>
      </c>
      <c r="C28" s="32" t="s">
        <v>4</v>
      </c>
      <c r="D28" s="31" t="s">
        <v>140</v>
      </c>
      <c r="E28" s="31" t="s">
        <v>119</v>
      </c>
      <c r="F28" s="3" t="s">
        <v>88</v>
      </c>
      <c r="G28" s="9" t="s">
        <v>19</v>
      </c>
      <c r="H28" s="43">
        <f>A14</f>
        <v>620</v>
      </c>
      <c r="I28" s="41" t="s">
        <v>99</v>
      </c>
      <c r="J28" s="10">
        <f>0.02558*O28</f>
        <v>15.859599999999999</v>
      </c>
      <c r="K28" s="11" t="s">
        <v>88</v>
      </c>
      <c r="L28" s="17" t="s">
        <v>4</v>
      </c>
      <c r="O28" s="1">
        <f>IF(H28="&lt;0.05",0.05,H28)</f>
        <v>620</v>
      </c>
    </row>
    <row r="29" spans="1:15" ht="15.75" customHeight="1">
      <c r="A29" s="35">
        <v>2680</v>
      </c>
      <c r="B29" s="5">
        <v>42019</v>
      </c>
      <c r="C29" s="31" t="s">
        <v>4</v>
      </c>
      <c r="D29" s="31" t="s">
        <v>141</v>
      </c>
      <c r="E29" s="31" t="s">
        <v>119</v>
      </c>
      <c r="F29" s="3" t="s">
        <v>88</v>
      </c>
      <c r="G29" s="9" t="s">
        <v>20</v>
      </c>
      <c r="H29" s="43">
        <f>A13</f>
        <v>148</v>
      </c>
      <c r="I29" s="41" t="s">
        <v>99</v>
      </c>
      <c r="J29" s="10">
        <f>0.05372*O29</f>
        <v>7.950559999999999</v>
      </c>
      <c r="K29" s="11" t="s">
        <v>88</v>
      </c>
      <c r="L29" s="17" t="s">
        <v>4</v>
      </c>
      <c r="O29" s="17">
        <f>IF(ISNUMBER(FIND("&lt;",A13)),".0001",VALUE(A13))</f>
        <v>148</v>
      </c>
    </row>
    <row r="30" spans="1:15" ht="15.75" customHeight="1">
      <c r="A30" s="36">
        <v>1120</v>
      </c>
      <c r="B30" s="5">
        <v>42018</v>
      </c>
      <c r="C30" s="31" t="s">
        <v>9</v>
      </c>
      <c r="D30" s="31" t="s">
        <v>142</v>
      </c>
      <c r="E30" s="31" t="s">
        <v>119</v>
      </c>
      <c r="F30" s="3" t="s">
        <v>86</v>
      </c>
      <c r="G30" s="9" t="s">
        <v>21</v>
      </c>
      <c r="H30" s="43">
        <f>A16</f>
        <v>11.6</v>
      </c>
      <c r="I30" s="41" t="s">
        <v>99</v>
      </c>
      <c r="J30" s="10">
        <f>0.0364*O31</f>
        <v>0.42224</v>
      </c>
      <c r="K30" s="11" t="s">
        <v>88</v>
      </c>
      <c r="L30" s="17" t="s">
        <v>4</v>
      </c>
      <c r="O30" s="1"/>
    </row>
    <row r="31" spans="1:15" ht="15.75" customHeight="1">
      <c r="A31" s="35"/>
      <c r="B31" s="5"/>
      <c r="C31" s="31" t="s">
        <v>108</v>
      </c>
      <c r="D31" s="31" t="s">
        <v>108</v>
      </c>
      <c r="E31" s="31" t="s">
        <v>108</v>
      </c>
      <c r="F31" s="3"/>
      <c r="G31" s="9" t="s">
        <v>22</v>
      </c>
      <c r="H31" s="43">
        <f>A11</f>
        <v>9.24</v>
      </c>
      <c r="I31" s="41" t="s">
        <v>99</v>
      </c>
      <c r="J31" s="10">
        <f>0.1112*O32</f>
        <v>1.027488</v>
      </c>
      <c r="K31" s="11" t="s">
        <v>88</v>
      </c>
      <c r="L31" s="17" t="s">
        <v>4</v>
      </c>
      <c r="O31" s="17">
        <f>IF(ISNUMBER(FIND("&lt;",A16)),".0001",VALUE(A16))</f>
        <v>11.6</v>
      </c>
    </row>
    <row r="32" spans="1:15" ht="15.75" customHeight="1">
      <c r="A32" s="33"/>
      <c r="B32" s="6"/>
      <c r="C32" s="30" t="s">
        <v>108</v>
      </c>
      <c r="D32" s="30" t="s">
        <v>108</v>
      </c>
      <c r="E32" s="30" t="s">
        <v>108</v>
      </c>
      <c r="F32" s="1"/>
      <c r="G32" s="9" t="s">
        <v>72</v>
      </c>
      <c r="H32" s="57">
        <f>VALUE(A19)</f>
        <v>57800</v>
      </c>
      <c r="I32" s="41" t="s">
        <v>100</v>
      </c>
      <c r="J32" s="10"/>
      <c r="K32" s="11" t="s">
        <v>89</v>
      </c>
      <c r="L32" s="17" t="s">
        <v>4</v>
      </c>
      <c r="O32" s="17">
        <f>IF(ISNUMBER(FIND("&lt;",A11)),".0001",VALUE(A11))</f>
        <v>9.24</v>
      </c>
    </row>
    <row r="33" spans="1:12" ht="15.75" customHeight="1">
      <c r="A33" s="33"/>
      <c r="B33" s="6"/>
      <c r="C33" s="30" t="s">
        <v>108</v>
      </c>
      <c r="D33" s="30" t="s">
        <v>108</v>
      </c>
      <c r="E33" s="30" t="s">
        <v>108</v>
      </c>
      <c r="F33" s="1"/>
      <c r="G33" s="21" t="s">
        <v>73</v>
      </c>
      <c r="H33" s="56">
        <v>251000</v>
      </c>
      <c r="I33" s="41" t="s">
        <v>100</v>
      </c>
      <c r="J33" s="17"/>
      <c r="K33" s="47" t="s">
        <v>90</v>
      </c>
      <c r="L33" s="17" t="s">
        <v>4</v>
      </c>
    </row>
    <row r="34" spans="1:15" ht="15.75" customHeight="1">
      <c r="A34" s="33"/>
      <c r="B34" s="6"/>
      <c r="C34" s="30" t="s">
        <v>108</v>
      </c>
      <c r="D34" s="30" t="s">
        <v>108</v>
      </c>
      <c r="E34" s="30" t="s">
        <v>108</v>
      </c>
      <c r="F34" s="1"/>
      <c r="G34" s="49" t="s">
        <v>74</v>
      </c>
      <c r="H34" s="59">
        <f>A28</f>
        <v>492</v>
      </c>
      <c r="I34" s="41" t="s">
        <v>99</v>
      </c>
      <c r="J34" s="10">
        <f>0.01456*O34</f>
        <v>7.16352</v>
      </c>
      <c r="K34" s="17" t="s">
        <v>88</v>
      </c>
      <c r="L34" s="17" t="s">
        <v>4</v>
      </c>
      <c r="M34" s="1"/>
      <c r="O34" s="17">
        <f>IF(ISNUMBER(FIND("&lt;",A28)),".0001",VALUE(A28))</f>
        <v>492</v>
      </c>
    </row>
    <row r="35" spans="1:15" ht="15.75" customHeight="1">
      <c r="A35" s="33"/>
      <c r="B35" s="6"/>
      <c r="C35" s="30" t="s">
        <v>108</v>
      </c>
      <c r="D35" s="30" t="s">
        <v>108</v>
      </c>
      <c r="E35" s="30" t="s">
        <v>108</v>
      </c>
      <c r="F35" s="1"/>
      <c r="G35" s="48" t="s">
        <v>75</v>
      </c>
      <c r="H35" s="59">
        <f>A29</f>
        <v>2680</v>
      </c>
      <c r="I35" s="41" t="s">
        <v>99</v>
      </c>
      <c r="J35" s="10">
        <f>0.02283*O35</f>
        <v>61.1844</v>
      </c>
      <c r="K35" s="50" t="s">
        <v>88</v>
      </c>
      <c r="L35" s="17" t="s">
        <v>4</v>
      </c>
      <c r="M35" s="1"/>
      <c r="O35" s="17">
        <f>IF(ISNUMBER(FIND("&lt;",A29)),".0001",VALUE(A29))</f>
        <v>2680</v>
      </c>
    </row>
    <row r="36" spans="1:15" ht="15.75" customHeight="1">
      <c r="A36" s="33"/>
      <c r="B36" s="6"/>
      <c r="C36" s="30" t="s">
        <v>108</v>
      </c>
      <c r="D36" s="30" t="s">
        <v>108</v>
      </c>
      <c r="E36" s="30" t="s">
        <v>108</v>
      </c>
      <c r="F36" s="1"/>
      <c r="G36" s="49" t="s">
        <v>76</v>
      </c>
      <c r="H36" s="59">
        <f>A30</f>
        <v>1120</v>
      </c>
      <c r="I36" s="41" t="s">
        <v>99</v>
      </c>
      <c r="J36" s="10">
        <f>0.01252*O36</f>
        <v>14.0224</v>
      </c>
      <c r="K36" s="17" t="s">
        <v>86</v>
      </c>
      <c r="L36" s="17" t="s">
        <v>9</v>
      </c>
      <c r="O36" s="17">
        <v>1120</v>
      </c>
    </row>
    <row r="37" spans="1:15" ht="31.5" customHeight="1">
      <c r="A37" s="33"/>
      <c r="B37" s="6"/>
      <c r="C37" s="30" t="s">
        <v>108</v>
      </c>
      <c r="D37" s="30" t="s">
        <v>108</v>
      </c>
      <c r="E37" s="30" t="s">
        <v>108</v>
      </c>
      <c r="F37" s="1"/>
      <c r="G37" t="s">
        <v>23</v>
      </c>
      <c r="H37" s="37"/>
      <c r="I37" s="37"/>
      <c r="J37" s="2"/>
      <c r="K37" s="4" t="s">
        <v>24</v>
      </c>
      <c r="L37" s="2"/>
      <c r="O37" s="1"/>
    </row>
    <row r="38" spans="1:15" ht="31.5" customHeight="1">
      <c r="A38" s="33"/>
      <c r="B38" s="6"/>
      <c r="C38" s="30"/>
      <c r="D38" s="30"/>
      <c r="E38" s="30"/>
      <c r="F38" s="1"/>
      <c r="H38" s="37"/>
      <c r="I38" s="37"/>
      <c r="J38" s="2"/>
      <c r="K38" s="4"/>
      <c r="L38" s="2"/>
      <c r="O38" s="1"/>
    </row>
    <row r="39" spans="1:6" ht="12.75">
      <c r="A39" s="33"/>
      <c r="B39" s="6"/>
      <c r="C39" s="30" t="s">
        <v>108</v>
      </c>
      <c r="D39" s="30" t="s">
        <v>108</v>
      </c>
      <c r="E39" s="30" t="s">
        <v>108</v>
      </c>
      <c r="F39" s="1"/>
    </row>
    <row r="40" spans="1:13" ht="12.75">
      <c r="A40" s="33"/>
      <c r="B40" s="6"/>
      <c r="C40" s="30" t="s">
        <v>108</v>
      </c>
      <c r="D40" s="30" t="s">
        <v>108</v>
      </c>
      <c r="E40" s="30" t="s">
        <v>108</v>
      </c>
      <c r="F40" s="1"/>
      <c r="G40" s="15" t="str">
        <f>"LAB ID: "&amp;C1</f>
        <v>LAB ID: 15011401</v>
      </c>
      <c r="H40" s="37"/>
      <c r="I40" s="37"/>
      <c r="J40" s="2"/>
      <c r="K40" s="2"/>
      <c r="L40" s="2"/>
      <c r="M40" s="1"/>
    </row>
    <row r="41" spans="1:12" ht="9.75" customHeight="1">
      <c r="A41" s="33"/>
      <c r="B41" s="6"/>
      <c r="C41" s="30" t="s">
        <v>108</v>
      </c>
      <c r="D41" s="30" t="s">
        <v>108</v>
      </c>
      <c r="E41" s="30" t="s">
        <v>108</v>
      </c>
      <c r="F41" s="1"/>
      <c r="G41" s="2"/>
      <c r="H41" s="37"/>
      <c r="I41" s="37"/>
      <c r="J41" s="2"/>
      <c r="K41" s="2"/>
      <c r="L41" s="1"/>
    </row>
    <row r="42" spans="1:15" ht="12.75">
      <c r="A42" s="33"/>
      <c r="B42" s="6"/>
      <c r="C42" s="30" t="s">
        <v>108</v>
      </c>
      <c r="D42" s="30" t="s">
        <v>108</v>
      </c>
      <c r="E42" s="30" t="s">
        <v>108</v>
      </c>
      <c r="F42" s="1"/>
      <c r="G42" s="2"/>
      <c r="H42" s="39"/>
      <c r="I42" s="39"/>
      <c r="J42" s="2"/>
      <c r="K42" s="2"/>
      <c r="L42" s="1"/>
      <c r="O42" s="1"/>
    </row>
    <row r="43" spans="1:15" ht="12.75">
      <c r="A43" s="33"/>
      <c r="B43" s="6"/>
      <c r="C43" s="30" t="s">
        <v>108</v>
      </c>
      <c r="D43" s="30" t="s">
        <v>108</v>
      </c>
      <c r="E43" s="30" t="s">
        <v>108</v>
      </c>
      <c r="F43" s="1"/>
      <c r="G43" s="16" t="s">
        <v>25</v>
      </c>
      <c r="H43" s="43">
        <f>SUM(J25,J26,J27,J28,J29,J30,J31,J34,J35)</f>
        <v>3162.623908</v>
      </c>
      <c r="I43" s="18" t="s">
        <v>26</v>
      </c>
      <c r="J43" s="17">
        <f>SUM(J23,J24,J17,J18,J19,J36)</f>
        <v>3318.008042</v>
      </c>
      <c r="K43" s="2"/>
      <c r="O43" s="1"/>
    </row>
    <row r="44" spans="1:15" ht="15" customHeight="1">
      <c r="A44" s="33"/>
      <c r="B44" s="6"/>
      <c r="C44" s="30" t="s">
        <v>108</v>
      </c>
      <c r="D44" s="30" t="s">
        <v>108</v>
      </c>
      <c r="E44" s="30" t="s">
        <v>108</v>
      </c>
      <c r="F44" s="1"/>
      <c r="G44" s="9" t="s">
        <v>27</v>
      </c>
      <c r="H44" s="41">
        <f>100*J25/H43</f>
        <v>31.082734735337365</v>
      </c>
      <c r="I44" s="14" t="s">
        <v>28</v>
      </c>
      <c r="J44" s="10">
        <f>100*SUM(J17,J18)/J43</f>
        <v>0.07903537203060221</v>
      </c>
      <c r="K44" s="2"/>
      <c r="O44" s="1"/>
    </row>
    <row r="45" spans="1:15" ht="15" customHeight="1">
      <c r="A45" s="33"/>
      <c r="B45" s="6"/>
      <c r="C45" s="30" t="s">
        <v>108</v>
      </c>
      <c r="D45" s="30" t="s">
        <v>108</v>
      </c>
      <c r="E45" s="30" t="s">
        <v>108</v>
      </c>
      <c r="F45" s="1"/>
      <c r="G45" s="9" t="s">
        <v>29</v>
      </c>
      <c r="H45" s="41">
        <f>100*J26/H43</f>
        <v>5.438082585948756</v>
      </c>
      <c r="I45" s="14" t="s">
        <v>30</v>
      </c>
      <c r="J45" s="10">
        <f>100*J23/J43</f>
        <v>0.023907175328057872</v>
      </c>
      <c r="K45" s="2"/>
      <c r="O45" s="1"/>
    </row>
    <row r="46" spans="1:15" ht="15" customHeight="1">
      <c r="A46" s="33"/>
      <c r="B46" s="6"/>
      <c r="C46" s="30" t="s">
        <v>108</v>
      </c>
      <c r="D46" s="30" t="s">
        <v>108</v>
      </c>
      <c r="E46" s="30" t="s">
        <v>108</v>
      </c>
      <c r="F46" s="1"/>
      <c r="G46" s="9" t="s">
        <v>31</v>
      </c>
      <c r="H46" s="41">
        <f>100*SUM(J27,J28)/H43</f>
        <v>61.02083763796045</v>
      </c>
      <c r="I46" s="14" t="s">
        <v>32</v>
      </c>
      <c r="J46" s="10">
        <f>100*J24/J43</f>
        <v>99.47444244319888</v>
      </c>
      <c r="K46" s="2"/>
      <c r="O46" s="1">
        <f>IF(H31="&lt;0.050",0.05,H31)</f>
        <v>9.24</v>
      </c>
    </row>
    <row r="47" spans="1:15" ht="15" customHeight="1">
      <c r="A47" s="33"/>
      <c r="B47" s="6"/>
      <c r="C47" s="30" t="s">
        <v>108</v>
      </c>
      <c r="D47" s="30" t="s">
        <v>108</v>
      </c>
      <c r="E47" s="30" t="s">
        <v>108</v>
      </c>
      <c r="F47" s="1"/>
      <c r="G47" s="9" t="s">
        <v>33</v>
      </c>
      <c r="H47" s="41">
        <f>100-SUM(H44:H46)</f>
        <v>2.458345040753443</v>
      </c>
      <c r="I47" s="14" t="s">
        <v>34</v>
      </c>
      <c r="J47" s="19">
        <f>100-SUM(J44:J46)</f>
        <v>0.42261500944245256</v>
      </c>
      <c r="K47" s="2"/>
      <c r="O47" s="1"/>
    </row>
    <row r="48" spans="1:15" ht="15" customHeight="1">
      <c r="A48" s="33"/>
      <c r="B48" s="6"/>
      <c r="C48" s="30" t="s">
        <v>108</v>
      </c>
      <c r="D48" s="30" t="s">
        <v>108</v>
      </c>
      <c r="E48" s="30" t="s">
        <v>108</v>
      </c>
      <c r="F48" s="1"/>
      <c r="G48" s="20" t="s">
        <v>35</v>
      </c>
      <c r="H48" s="41">
        <f>100*ABS(SUM(-H43,J43))/SUM(H43,J43)</f>
        <v>2.3976694741937923</v>
      </c>
      <c r="I48" s="14" t="s">
        <v>36</v>
      </c>
      <c r="J48" s="10">
        <f>100*J19/J43</f>
        <v>0</v>
      </c>
      <c r="K48" s="2"/>
      <c r="O48" s="1"/>
    </row>
    <row r="49" spans="1:11" ht="15" customHeight="1">
      <c r="A49" s="33"/>
      <c r="B49" s="6"/>
      <c r="C49" s="30" t="s">
        <v>108</v>
      </c>
      <c r="D49" s="30" t="s">
        <v>108</v>
      </c>
      <c r="E49" s="30" t="s">
        <v>108</v>
      </c>
      <c r="F49" s="1"/>
      <c r="G49" s="2"/>
      <c r="I49" s="14" t="s">
        <v>37</v>
      </c>
      <c r="J49" s="10" t="str">
        <f>E1</f>
        <v>NaCl</v>
      </c>
      <c r="K49" s="2"/>
    </row>
    <row r="50" spans="1:13" ht="15" customHeight="1">
      <c r="A50" s="33"/>
      <c r="B50" s="6"/>
      <c r="C50" s="30" t="s">
        <v>108</v>
      </c>
      <c r="D50" s="30" t="s">
        <v>108</v>
      </c>
      <c r="E50" s="30" t="s">
        <v>108</v>
      </c>
      <c r="F50" s="1"/>
      <c r="G50" s="21" t="s">
        <v>38</v>
      </c>
      <c r="H50" s="56">
        <f>A22</f>
        <v>193000</v>
      </c>
      <c r="I50" s="22"/>
      <c r="J50" s="2"/>
      <c r="K50" s="2"/>
      <c r="M50" s="1"/>
    </row>
    <row r="51" spans="1:13" ht="15" customHeight="1">
      <c r="A51" s="33"/>
      <c r="C51" s="30" t="s">
        <v>108</v>
      </c>
      <c r="D51" s="30" t="s">
        <v>108</v>
      </c>
      <c r="E51" s="30" t="s">
        <v>108</v>
      </c>
      <c r="F51" s="1"/>
      <c r="G51" s="14" t="s">
        <v>39</v>
      </c>
      <c r="H51" s="57">
        <v>184000</v>
      </c>
      <c r="I51"/>
      <c r="J51" s="2"/>
      <c r="K51" s="2"/>
      <c r="M51" s="1"/>
    </row>
    <row r="52" spans="1:15" ht="15" customHeight="1">
      <c r="A52" s="33"/>
      <c r="B52" s="5"/>
      <c r="C52" s="30"/>
      <c r="D52" s="30"/>
      <c r="E52" s="30"/>
      <c r="F52" s="1"/>
      <c r="G52" s="20" t="s">
        <v>40</v>
      </c>
      <c r="H52" s="58">
        <f>H50/H51</f>
        <v>1.048913043478261</v>
      </c>
      <c r="I52" s="2"/>
      <c r="J52" s="2"/>
      <c r="K52" s="2"/>
      <c r="M52" s="1"/>
      <c r="O52" s="1"/>
    </row>
    <row r="53" spans="1:15" ht="15" customHeight="1">
      <c r="A53" s="33"/>
      <c r="B53" s="5"/>
      <c r="C53" s="30"/>
      <c r="D53" s="30"/>
      <c r="E53" s="30"/>
      <c r="F53" s="1"/>
      <c r="G53" s="2"/>
      <c r="H53" s="43"/>
      <c r="I53"/>
      <c r="J53" s="23" t="s">
        <v>41</v>
      </c>
      <c r="K53" s="2"/>
      <c r="O53" s="1"/>
    </row>
    <row r="54" spans="1:15" ht="15" customHeight="1">
      <c r="A54" s="33"/>
      <c r="B54" s="5"/>
      <c r="C54" s="30"/>
      <c r="D54" s="30"/>
      <c r="E54" s="30"/>
      <c r="F54" s="1"/>
      <c r="G54" s="21"/>
      <c r="H54" s="44" t="s">
        <v>41</v>
      </c>
      <c r="I54" s="24" t="s">
        <v>42</v>
      </c>
      <c r="J54" s="25">
        <f>POWER(10,-H11)</f>
        <v>4.265795188015921E-07</v>
      </c>
      <c r="K54" s="2"/>
      <c r="O54" s="1"/>
    </row>
    <row r="55" spans="1:11" ht="15" customHeight="1">
      <c r="A55" s="33"/>
      <c r="B55" s="5"/>
      <c r="C55" s="30"/>
      <c r="D55" s="30"/>
      <c r="E55" s="30"/>
      <c r="F55" s="1"/>
      <c r="G55" s="24" t="s">
        <v>43</v>
      </c>
      <c r="H55" s="41">
        <f>IF(H12=0,"NA",H50/H12)</f>
        <v>0.6126984126984127</v>
      </c>
      <c r="I55" s="24" t="s">
        <v>44</v>
      </c>
      <c r="J55" s="10">
        <f>IF(H12=0,"NA",H51/H12)</f>
        <v>0.5841269841269842</v>
      </c>
      <c r="K55" s="2"/>
    </row>
    <row r="56" spans="1:11" ht="12.75">
      <c r="A56" s="33"/>
      <c r="B56" s="5"/>
      <c r="C56" s="30"/>
      <c r="D56" s="30"/>
      <c r="E56" s="30"/>
      <c r="F56" s="1"/>
      <c r="G56" s="24" t="s">
        <v>45</v>
      </c>
      <c r="H56" s="41">
        <f>IF(NOT(ISNUMBER(IF(J18=0,"NA",J25/J18))),"NA",IF(J18=0,"NA",J25/J18))</f>
        <v>374.85890787065284</v>
      </c>
      <c r="I56" s="24" t="s">
        <v>46</v>
      </c>
      <c r="J56" s="10">
        <f>IF(NOT(ISNUMBER(IF(J18=0,"NA",J28/J18))),"NA",IF(J18=0,"NA",J28/J18))</f>
        <v>6.047742525930445</v>
      </c>
      <c r="K56" s="2"/>
    </row>
    <row r="57" spans="1:11" ht="12.75">
      <c r="A57" s="33"/>
      <c r="B57" s="5"/>
      <c r="C57" s="30"/>
      <c r="D57" s="30"/>
      <c r="E57" s="30"/>
      <c r="F57" s="1"/>
      <c r="G57" s="24" t="s">
        <v>47</v>
      </c>
      <c r="H57" s="41">
        <f>IF(NOT(ISNUMBER(IF(J23=0,"NA",J26/J23))),"NA",IF(J23=0,"NA",J26/J23))</f>
        <v>216.81416263889201</v>
      </c>
      <c r="I57" s="24" t="s">
        <v>48</v>
      </c>
      <c r="J57" s="10">
        <f>IF(NOT(ISNUMBER(IF(J29=0,"NA",J30/J29))),"NA",IF(J29=0,"NA",J30/J29))</f>
        <v>0.053108208729951104</v>
      </c>
      <c r="K57" s="2"/>
    </row>
    <row r="58" spans="1:11" ht="12.75">
      <c r="A58" s="33"/>
      <c r="B58" s="5"/>
      <c r="C58" s="30"/>
      <c r="D58" s="30"/>
      <c r="E58" s="30"/>
      <c r="F58" s="1"/>
      <c r="G58" s="24" t="s">
        <v>49</v>
      </c>
      <c r="H58" s="41">
        <f>IF(NOT(ISNUMBER(IF(J23=0,"NA",J29/J23))),"NA",IF(J23=0,"NA",J29/J23))</f>
        <v>10.022868178941607</v>
      </c>
      <c r="I58" s="24" t="s">
        <v>50</v>
      </c>
      <c r="J58" s="10">
        <f>IF(NOT(ISNUMBER(IF(J26=0,"NA",J25/J26))),"NA",IF(J26=0,"NA",J25/J26))</f>
        <v>5.715752610240013</v>
      </c>
      <c r="K58" s="2"/>
    </row>
    <row r="59" spans="1:11" ht="12.75">
      <c r="A59" s="33"/>
      <c r="B59" s="5"/>
      <c r="C59" s="30"/>
      <c r="D59" s="30"/>
      <c r="E59" s="30"/>
      <c r="F59" s="1"/>
      <c r="G59" s="24" t="s">
        <v>51</v>
      </c>
      <c r="H59" s="41">
        <f>IF(NOT(ISNUMBER(IF(J25=0,"NA",J31/J25))),"NA",IF(J25=0,"NA",J31/J25))</f>
        <v>0.0010452254763333774</v>
      </c>
      <c r="I59" s="24" t="s">
        <v>52</v>
      </c>
      <c r="J59" s="10">
        <f>IF(NOT(ISNUMBER(IF(J28=0,"NA",J27/J28))),"NA",IF(J28=0,"NA",J27/J28))</f>
        <v>120.68400211859063</v>
      </c>
      <c r="K59" s="2"/>
    </row>
    <row r="60" spans="1:11" ht="12.75">
      <c r="A60" s="33"/>
      <c r="B60" s="5"/>
      <c r="C60" s="30"/>
      <c r="D60" s="30"/>
      <c r="E60" s="30"/>
      <c r="F60" s="1"/>
      <c r="G60" s="24" t="s">
        <v>53</v>
      </c>
      <c r="H60" s="41">
        <f>IF(NOT(ISNUMBER(IF(J23=0,"NA",J31/J23))),"NA",IF(J23=0,"NA",J31/J23))</f>
        <v>1.2953020641872213</v>
      </c>
      <c r="I60" s="24" t="s">
        <v>54</v>
      </c>
      <c r="J60" s="10">
        <f>IF(NOT(ISNUMBER(IF(J24=0,"NA",J25/J24))),"NA",IF(J24=0,"NA",J25/J24))</f>
        <v>0.2978364343128611</v>
      </c>
      <c r="K60" s="2"/>
    </row>
    <row r="61" spans="1:11" ht="12.75">
      <c r="A61" s="33"/>
      <c r="B61" s="5"/>
      <c r="C61" s="30"/>
      <c r="D61" s="30"/>
      <c r="E61" s="30"/>
      <c r="F61" s="1"/>
      <c r="G61" s="24" t="s">
        <v>55</v>
      </c>
      <c r="H61" s="41">
        <f>IF(NOT(ISNUMBER(IF(J24=0,"NA",J27/J24))),"NA",IF(J24=0,"NA",J27/J24))</f>
        <v>0.579899835482962</v>
      </c>
      <c r="I61" s="24" t="s">
        <v>56</v>
      </c>
      <c r="J61" s="10">
        <f>IF(NOT(ISNUMBER(IF(J23=0,"NA",J25/H23))),"NA",IF(J23=0,"NA",J25/J23))</f>
        <v>1239.2561160402497</v>
      </c>
      <c r="K61" s="2"/>
    </row>
    <row r="62" spans="1:11" ht="12.75">
      <c r="A62" s="33"/>
      <c r="B62" s="5"/>
      <c r="C62" s="30"/>
      <c r="D62" s="30"/>
      <c r="E62" s="30"/>
      <c r="F62" s="1"/>
      <c r="G62" s="24" t="s">
        <v>57</v>
      </c>
      <c r="H62" s="41">
        <f>IF(NOT(ISNUMBER(IF(J23=0,"NA",J27/J23))),"NA",IF(J23=0,"NA",J27/J23))</f>
        <v>2412.8828276868844</v>
      </c>
      <c r="I62" s="24" t="s">
        <v>58</v>
      </c>
      <c r="J62" s="10">
        <f>IF(NOT(ISNUMBER(IF(J24=0,"NA",J29/J24))),"NA",IF(J24=0,"NA",J29/J24))</f>
        <v>0.002408844532914012</v>
      </c>
      <c r="K62" s="2"/>
    </row>
    <row r="63" spans="1:11" ht="12.75">
      <c r="A63" s="33"/>
      <c r="B63" s="5"/>
      <c r="C63" s="30"/>
      <c r="D63" s="30"/>
      <c r="E63" s="30"/>
      <c r="F63" s="1"/>
      <c r="G63" s="24" t="s">
        <v>59</v>
      </c>
      <c r="H63" s="41">
        <f>IF(NOT(ISNUMBER(IF(J23=0,"NA",J28/J23))),"NA",IF(J23=0,"NA",J28/J23))</f>
        <v>19.993394197483234</v>
      </c>
      <c r="I63" s="24" t="s">
        <v>60</v>
      </c>
      <c r="J63" s="10">
        <f>IF(NOT(ISNUMBER(IF(J24=0,"NA",J26/J24))),"NA",IF(J24=0,"NA",J26/J24))</f>
        <v>0.05210799952735437</v>
      </c>
      <c r="K63" s="2"/>
    </row>
    <row r="64" spans="1:11" ht="12.75">
      <c r="A64" s="33"/>
      <c r="B64" s="5"/>
      <c r="C64" s="30"/>
      <c r="D64" s="30"/>
      <c r="E64" s="30"/>
      <c r="F64" s="1"/>
      <c r="G64" s="24" t="s">
        <v>61</v>
      </c>
      <c r="H64" s="41">
        <f>IF(NOT(ISNUMBER(IF(J24=0,"NA",J31/J24))),"NA",IF(J24=0,"NA",J31/J24))</f>
        <v>0.0003113062289240949</v>
      </c>
      <c r="I64" s="24" t="s">
        <v>62</v>
      </c>
      <c r="J64" s="10">
        <f>IF(NOT(ISNUMBER(IF(J24=0,"NA",J28/H24))),"NA",IF(J24=0,"NA",J28/J24))</f>
        <v>0.0048051094204940355</v>
      </c>
      <c r="K64" s="2"/>
    </row>
    <row r="65" spans="1:11" ht="12.75">
      <c r="A65" s="33"/>
      <c r="B65" s="5"/>
      <c r="C65" s="30"/>
      <c r="D65" s="30"/>
      <c r="E65" s="30"/>
      <c r="F65" s="1"/>
      <c r="G65" s="24" t="s">
        <v>63</v>
      </c>
      <c r="H65" s="41">
        <f>IF(NOT(ISNUMBER(IF(J24=0,"NA",J30/J24))),"NA",IF(J24=0,"NA",J30/J24))</f>
        <v>0.0001279294182519989</v>
      </c>
      <c r="I65" s="24" t="s">
        <v>78</v>
      </c>
      <c r="J65" s="10">
        <f>IF(NOT(ISNUMBER(IF(J24=0,"NA",J36/J24))),"NA",IF(J24=0,"NA",J36/J24))</f>
        <v>0.004248478293143306</v>
      </c>
      <c r="K65" s="2"/>
    </row>
    <row r="66" spans="1:11" ht="12.75" customHeight="1">
      <c r="A66" s="33"/>
      <c r="B66" s="5"/>
      <c r="C66" s="30"/>
      <c r="D66" s="30"/>
      <c r="E66" s="30"/>
      <c r="F66" s="1"/>
      <c r="G66" s="24" t="s">
        <v>64</v>
      </c>
      <c r="H66" s="41">
        <f>IF(NOT(ISNUMBER(IF(J23=0,"NA",J30/J23))),"NA",IF(J23=0,"NA",J30/J23))</f>
        <v>0.5322965753200157</v>
      </c>
      <c r="I66" s="24" t="s">
        <v>79</v>
      </c>
      <c r="J66" s="10">
        <f>IF(NOT(ISNUMBER(IF(J34=0,"NA",J34/J35))),"NA",IF(J34=0,"NA",J34/J35))</f>
        <v>0.11708082452389826</v>
      </c>
      <c r="K66" s="2"/>
    </row>
    <row r="67" spans="1:9" ht="12.75">
      <c r="A67" s="33"/>
      <c r="B67" s="5"/>
      <c r="C67" s="30"/>
      <c r="D67" s="30"/>
      <c r="E67" s="30"/>
      <c r="F67" s="1"/>
      <c r="G67" s="2"/>
      <c r="H67" s="37"/>
      <c r="I67" s="2"/>
    </row>
    <row r="68" spans="1:13" ht="12.75">
      <c r="A68" s="33"/>
      <c r="B68" s="5"/>
      <c r="C68" s="30"/>
      <c r="D68" s="30"/>
      <c r="E68" s="30"/>
      <c r="F68" s="1"/>
      <c r="G68" s="26" t="s">
        <v>65</v>
      </c>
      <c r="H68" s="43"/>
      <c r="I68" s="26" t="s">
        <v>66</v>
      </c>
      <c r="J68" s="17"/>
      <c r="K68" s="26" t="s">
        <v>67</v>
      </c>
      <c r="M68" s="17"/>
    </row>
    <row r="69" spans="1:11" ht="12.75">
      <c r="A69" s="33"/>
      <c r="B69" s="5"/>
      <c r="C69" s="30"/>
      <c r="D69" s="30"/>
      <c r="E69" s="30"/>
      <c r="F69" s="1"/>
      <c r="G69" s="21" t="s">
        <v>68</v>
      </c>
      <c r="H69" s="43">
        <f>IF(H32&gt;SUM(H17,H18),H15,H32)</f>
        <v>160</v>
      </c>
      <c r="I69" s="21" t="s">
        <v>69</v>
      </c>
      <c r="J69" s="21"/>
      <c r="K69" s="17">
        <f>IF(H32&gt;SUM(H17,H18),SUM(H32,-H15),0)</f>
        <v>57640</v>
      </c>
    </row>
    <row r="70" spans="7:10" ht="12.75">
      <c r="G70" s="2"/>
      <c r="H70" s="37"/>
      <c r="I70" s="37"/>
      <c r="J70" s="2"/>
    </row>
  </sheetData>
  <sheetProtection/>
  <printOptions horizontalCentered="1" verticalCentered="1"/>
  <pageMargins left="0.75" right="0.75" top="0.53" bottom="0.16" header="0.58" footer="0.26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Mineral Resources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mcclarren</dc:creator>
  <cp:keywords/>
  <dc:description/>
  <cp:lastModifiedBy>Trippel, Rick</cp:lastModifiedBy>
  <cp:lastPrinted>2013-04-18T14:38:54Z</cp:lastPrinted>
  <dcterms:created xsi:type="dcterms:W3CDTF">2003-03-21T20:55:32Z</dcterms:created>
  <dcterms:modified xsi:type="dcterms:W3CDTF">2015-02-10T17:30:14Z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1351840321</vt:i4>
  </property>
  <property fmtid="{D5CDD505-2E9C-101B-9397-08002B2CF9AE}" pid="3" name="_EmailSubject">
    <vt:lpwstr>2ND TRY</vt:lpwstr>
  </property>
  <property fmtid="{D5CDD505-2E9C-101B-9397-08002B2CF9AE}" pid="4" name="_AuthorEmail">
    <vt:lpwstr>Jason.McClarren@dnr.state.oh.us</vt:lpwstr>
  </property>
  <property fmtid="{D5CDD505-2E9C-101B-9397-08002B2CF9AE}" pid="5" name="_AuthorEmailDisplayName">
    <vt:lpwstr>McClarren, Jason</vt:lpwstr>
  </property>
  <property fmtid="{D5CDD505-2E9C-101B-9397-08002B2CF9AE}" pid="6" name="_ReviewingToolsShownOnce">
    <vt:lpwstr/>
  </property>
</Properties>
</file>